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djmrunfast\Documents\DJM Consulting\Dilution Workshop\"/>
    </mc:Choice>
  </mc:AlternateContent>
  <bookViews>
    <workbookView xWindow="0" yWindow="0" windowWidth="20490" windowHeight="7755" tabRatio="713" activeTab="4"/>
  </bookViews>
  <sheets>
    <sheet name="At Startup" sheetId="4" r:id="rId1"/>
    <sheet name="Angel Analysis - Simplified" sheetId="5" r:id="rId2"/>
    <sheet name="A Round Analysis - Simplified" sheetId="7" r:id="rId3"/>
    <sheet name="A Round Analysis" sheetId="3" r:id="rId4"/>
    <sheet name="IRR" sheetId="2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B7" i="7"/>
  <c r="C1" i="7"/>
  <c r="B7" i="5"/>
  <c r="B4" i="5" l="1"/>
  <c r="E1" i="7" l="1"/>
  <c r="B4" i="7"/>
  <c r="C3" i="7"/>
  <c r="C1" i="5"/>
  <c r="E1" i="5"/>
  <c r="E11" i="3"/>
  <c r="C29" i="3"/>
  <c r="D29" i="3"/>
  <c r="B29" i="3"/>
  <c r="C28" i="3"/>
  <c r="D28" i="3"/>
  <c r="D30" i="3" s="1"/>
  <c r="B28" i="3"/>
  <c r="C23" i="3"/>
  <c r="D23" i="3"/>
  <c r="B23" i="3"/>
  <c r="D19" i="3"/>
  <c r="C19" i="3"/>
  <c r="B19" i="3"/>
  <c r="B9" i="7" l="1"/>
  <c r="E3" i="7"/>
  <c r="C3" i="5"/>
  <c r="E3" i="5" s="1"/>
  <c r="C30" i="3"/>
  <c r="B10" i="7"/>
  <c r="C9" i="7" s="1"/>
  <c r="B19" i="7" s="1"/>
  <c r="C4" i="7"/>
  <c r="E4" i="7" s="1"/>
  <c r="C3" i="4"/>
  <c r="B11" i="4" s="1"/>
  <c r="B8" i="5" l="1"/>
  <c r="C4" i="5"/>
  <c r="E4" i="5" s="1"/>
  <c r="C8" i="7"/>
  <c r="B18" i="7" s="1"/>
  <c r="B6" i="4"/>
  <c r="B12" i="7"/>
  <c r="C7" i="7"/>
  <c r="B17" i="7" s="1"/>
  <c r="B18" i="3"/>
  <c r="A28" i="3" l="1"/>
  <c r="A29" i="3"/>
  <c r="B30" i="3" l="1"/>
  <c r="B24" i="3"/>
  <c r="C14" i="3" l="1"/>
  <c r="D14" i="3" s="1"/>
  <c r="C12" i="3"/>
  <c r="C24" i="3"/>
  <c r="C18" i="3" l="1"/>
  <c r="D12" i="3"/>
  <c r="D24" i="3"/>
  <c r="C15" i="3"/>
  <c r="C16" i="3" s="1"/>
  <c r="C17" i="3" s="1"/>
  <c r="C20" i="3" s="1"/>
  <c r="C25" i="3" s="1"/>
  <c r="C31" i="3" s="1"/>
  <c r="B15" i="3"/>
  <c r="B16" i="3" s="1"/>
  <c r="B17" i="3" s="1"/>
  <c r="B20" i="3" s="1"/>
  <c r="B25" i="3" s="1"/>
  <c r="B31" i="3" s="1"/>
  <c r="D18" i="3" l="1"/>
  <c r="D20" i="3" s="1"/>
  <c r="D15" i="3"/>
  <c r="D16" i="3" s="1"/>
  <c r="D17" i="3" s="1"/>
  <c r="D25" i="3"/>
  <c r="D31" i="3" s="1"/>
  <c r="D32" i="3"/>
  <c r="B32" i="3"/>
  <c r="C32" i="3"/>
  <c r="C33" i="3" s="1"/>
  <c r="E32" i="3" l="1"/>
  <c r="D45" i="3"/>
  <c r="D41" i="3"/>
  <c r="D39" i="3"/>
  <c r="D44" i="3"/>
  <c r="D36" i="3"/>
  <c r="D47" i="3" s="1"/>
  <c r="D33" i="3"/>
  <c r="C45" i="3"/>
  <c r="C37" i="3"/>
  <c r="C40" i="3" s="1"/>
  <c r="B33" i="3"/>
  <c r="B37" i="3"/>
  <c r="B40" i="3"/>
  <c r="B45" i="3"/>
  <c r="E45" i="3" l="1"/>
  <c r="E40" i="3"/>
  <c r="E37" i="3"/>
  <c r="B39" i="3"/>
  <c r="B47" i="3" s="1"/>
  <c r="B9" i="2" l="1"/>
  <c r="B10" i="2" s="1"/>
  <c r="E39" i="3"/>
  <c r="B9" i="5" l="1"/>
  <c r="B11" i="5" s="1"/>
  <c r="C7" i="5" l="1"/>
  <c r="B16" i="5" s="1"/>
  <c r="C8" i="5"/>
  <c r="B17" i="5" s="1"/>
  <c r="C38" i="3"/>
  <c r="E38" i="3"/>
  <c r="C41" i="3"/>
  <c r="E41" i="3"/>
  <c r="C42" i="3"/>
  <c r="E42" i="3"/>
  <c r="C43" i="3"/>
  <c r="E43" i="3"/>
  <c r="C44" i="3"/>
  <c r="E44" i="3" s="1"/>
  <c r="C36" i="3"/>
  <c r="E36" i="3" s="1"/>
  <c r="E47" i="3" s="1"/>
  <c r="C47" i="3" l="1"/>
</calcChain>
</file>

<file path=xl/sharedStrings.xml><?xml version="1.0" encoding="utf-8"?>
<sst xmlns="http://schemas.openxmlformats.org/spreadsheetml/2006/main" count="95" uniqueCount="70">
  <si>
    <t>discount</t>
  </si>
  <si>
    <t>cap valuation</t>
  </si>
  <si>
    <t>Pre Money Ownership</t>
  </si>
  <si>
    <t>Series A Valuation</t>
  </si>
  <si>
    <t xml:space="preserve">Series A Money </t>
  </si>
  <si>
    <t>Spore 1</t>
  </si>
  <si>
    <t>Post Money Valuation</t>
  </si>
  <si>
    <t xml:space="preserve">Cash out </t>
  </si>
  <si>
    <t>invested capital</t>
  </si>
  <si>
    <t>Post Money % owned</t>
  </si>
  <si>
    <t>Spore 2</t>
  </si>
  <si>
    <t>variables effecting outcomes</t>
  </si>
  <si>
    <t>Pre Money Share Valuation</t>
  </si>
  <si>
    <t>Assuming dilution at Series A</t>
  </si>
  <si>
    <t>Exit</t>
  </si>
  <si>
    <t>Series A Money</t>
  </si>
  <si>
    <t>Company Shares O/S at Conversion - *</t>
  </si>
  <si>
    <t>converting share price - *</t>
  </si>
  <si>
    <t>discounted share price - *</t>
  </si>
  <si>
    <t>shares purchased - *</t>
  </si>
  <si>
    <t>* - TBD at time of conversion</t>
  </si>
  <si>
    <t>SaaS Multiple on sales at Exit</t>
  </si>
  <si>
    <t>Potential Payouts</t>
  </si>
  <si>
    <t>Spore Payouts</t>
  </si>
  <si>
    <t>Spores SubTotals</t>
  </si>
  <si>
    <t>Cash Out Valuation of Bossa Nova</t>
  </si>
  <si>
    <t>Pre Money % owned</t>
  </si>
  <si>
    <t>Year in</t>
  </si>
  <si>
    <t>Year out</t>
  </si>
  <si>
    <t>IRR analysis</t>
  </si>
  <si>
    <t>Investment</t>
  </si>
  <si>
    <t>year 1</t>
  </si>
  <si>
    <t>year 2</t>
  </si>
  <si>
    <t>year 3</t>
  </si>
  <si>
    <t>Valuation</t>
  </si>
  <si>
    <t>Number of Shares - Authorized</t>
  </si>
  <si>
    <t>Total Outsanding</t>
  </si>
  <si>
    <t>Auth. Not outstanding</t>
  </si>
  <si>
    <t>Multiple (X)</t>
  </si>
  <si>
    <t>Spore 3</t>
  </si>
  <si>
    <t>Raise</t>
  </si>
  <si>
    <t>Pre-Money Valuation</t>
  </si>
  <si>
    <t>Post-Money Valuation</t>
  </si>
  <si>
    <t>Angel Ownership</t>
  </si>
  <si>
    <t>A Round Ownership</t>
  </si>
  <si>
    <t xml:space="preserve"> cash out - should match cash out above</t>
  </si>
  <si>
    <t>Angel Raise</t>
  </si>
  <si>
    <t>At exit</t>
  </si>
  <si>
    <t>Founder(s)' cash out</t>
  </si>
  <si>
    <t>Founder(s)' ownership</t>
  </si>
  <si>
    <t>Angel cash out</t>
  </si>
  <si>
    <t>A round cash out</t>
  </si>
  <si>
    <t>TTM Sales Contracts at exit</t>
  </si>
  <si>
    <t>Total Outstanding</t>
  </si>
  <si>
    <t>Angels' cash out</t>
  </si>
  <si>
    <t>Angel 1</t>
  </si>
  <si>
    <t>Angel 2</t>
  </si>
  <si>
    <t>Angel 3</t>
  </si>
  <si>
    <t>Angel 4</t>
  </si>
  <si>
    <t>Angel 5</t>
  </si>
  <si>
    <t>Angel 6</t>
  </si>
  <si>
    <t>Angel 7</t>
  </si>
  <si>
    <t>Angel 8</t>
  </si>
  <si>
    <t>Angel 9</t>
  </si>
  <si>
    <t>Angel 10</t>
  </si>
  <si>
    <t>$/shr</t>
  </si>
  <si>
    <t>year 4</t>
  </si>
  <si>
    <t>year 5</t>
  </si>
  <si>
    <t>year 6</t>
  </si>
  <si>
    <t>year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</si>
</sst>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0" xfId="3" applyFont="1"/>
    <xf numFmtId="44" fontId="0" fillId="0" borderId="0" xfId="2" applyFont="1"/>
    <xf numFmtId="44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2" applyFont="1" applyAlignment="1">
      <alignment horizontal="center"/>
    </xf>
    <xf numFmtId="165" fontId="0" fillId="0" borderId="0" xfId="0" applyNumberFormat="1"/>
    <xf numFmtId="44" fontId="0" fillId="0" borderId="0" xfId="2" applyFont="1" applyFill="1"/>
    <xf numFmtId="44" fontId="0" fillId="0" borderId="0" xfId="0" applyNumberFormat="1" applyFill="1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1" applyFont="1" applyFill="1"/>
    <xf numFmtId="0" fontId="2" fillId="0" borderId="0" xfId="0" applyFont="1" applyAlignment="1">
      <alignment horizontal="center"/>
    </xf>
    <xf numFmtId="9" fontId="0" fillId="0" borderId="0" xfId="0" applyNumberFormat="1"/>
    <xf numFmtId="165" fontId="0" fillId="0" borderId="0" xfId="2" applyNumberFormat="1" applyFont="1"/>
    <xf numFmtId="166" fontId="0" fillId="0" borderId="0" xfId="0" applyNumberFormat="1"/>
    <xf numFmtId="166" fontId="0" fillId="0" borderId="0" xfId="2" applyNumberFormat="1" applyFont="1"/>
    <xf numFmtId="0" fontId="0" fillId="4" borderId="0" xfId="0" applyFill="1"/>
    <xf numFmtId="9" fontId="0" fillId="2" borderId="0" xfId="3" applyFont="1" applyFill="1"/>
    <xf numFmtId="44" fontId="0" fillId="0" borderId="0" xfId="2" applyFont="1" applyFill="1" applyAlignment="1">
      <alignment horizontal="center"/>
    </xf>
    <xf numFmtId="10" fontId="0" fillId="2" borderId="0" xfId="3" applyNumberFormat="1" applyFont="1" applyFill="1"/>
    <xf numFmtId="44" fontId="0" fillId="2" borderId="0" xfId="2" applyFont="1" applyFill="1"/>
    <xf numFmtId="43" fontId="0" fillId="2" borderId="0" xfId="1" applyFont="1" applyFill="1"/>
    <xf numFmtId="0" fontId="0" fillId="2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4" sqref="B4"/>
    </sheetView>
  </sheetViews>
  <sheetFormatPr defaultRowHeight="15" x14ac:dyDescent="0.25"/>
  <cols>
    <col min="1" max="1" width="28.85546875" bestFit="1" customWidth="1"/>
    <col min="2" max="2" width="15.28515625" bestFit="1" customWidth="1"/>
    <col min="3" max="3" width="13.85546875" bestFit="1" customWidth="1"/>
  </cols>
  <sheetData>
    <row r="1" spans="1:3" x14ac:dyDescent="0.25">
      <c r="A1" t="s">
        <v>35</v>
      </c>
      <c r="B1" s="5">
        <v>10000000</v>
      </c>
    </row>
    <row r="2" spans="1:3" x14ac:dyDescent="0.25">
      <c r="A2" t="s">
        <v>34</v>
      </c>
      <c r="B2" s="2">
        <v>0</v>
      </c>
    </row>
    <row r="3" spans="1:3" x14ac:dyDescent="0.25">
      <c r="A3" t="s">
        <v>49</v>
      </c>
      <c r="B3" s="5">
        <v>6000000</v>
      </c>
      <c r="C3" s="23">
        <f>B3/B4</f>
        <v>1</v>
      </c>
    </row>
    <row r="4" spans="1:3" x14ac:dyDescent="0.25">
      <c r="A4" t="s">
        <v>53</v>
      </c>
      <c r="B4" s="6">
        <v>6000000</v>
      </c>
    </row>
    <row r="6" spans="1:3" x14ac:dyDescent="0.25">
      <c r="A6" t="s">
        <v>37</v>
      </c>
      <c r="B6" s="6">
        <f>B1-B4</f>
        <v>4000000</v>
      </c>
    </row>
    <row r="9" spans="1:3" s="22" customFormat="1" x14ac:dyDescent="0.25">
      <c r="A9" s="22" t="s">
        <v>47</v>
      </c>
    </row>
    <row r="10" spans="1:3" x14ac:dyDescent="0.25">
      <c r="A10" t="s">
        <v>34</v>
      </c>
      <c r="B10" s="2">
        <v>20000000</v>
      </c>
    </row>
    <row r="11" spans="1:3" x14ac:dyDescent="0.25">
      <c r="A11" t="s">
        <v>48</v>
      </c>
      <c r="B11" s="3">
        <f>B10*C3</f>
        <v>20000000</v>
      </c>
    </row>
    <row r="16" spans="1:3" x14ac:dyDescent="0.25">
      <c r="B1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7" sqref="B17"/>
    </sheetView>
  </sheetViews>
  <sheetFormatPr defaultRowHeight="15" x14ac:dyDescent="0.25"/>
  <cols>
    <col min="1" max="1" width="22.28515625" bestFit="1" customWidth="1"/>
    <col min="2" max="2" width="16.7109375" customWidth="1"/>
    <col min="3" max="3" width="14.5703125" style="5" customWidth="1"/>
  </cols>
  <sheetData>
    <row r="1" spans="1:6" x14ac:dyDescent="0.25">
      <c r="A1" t="s">
        <v>41</v>
      </c>
      <c r="B1" s="2">
        <v>1000000</v>
      </c>
      <c r="C1" s="5">
        <f>'At Startup'!B3</f>
        <v>6000000</v>
      </c>
      <c r="E1" s="20">
        <f>B1/'At Startup'!B3</f>
        <v>0.16666666666666666</v>
      </c>
      <c r="F1" t="s">
        <v>65</v>
      </c>
    </row>
    <row r="2" spans="1:6" x14ac:dyDescent="0.25">
      <c r="B2" s="2"/>
    </row>
    <row r="3" spans="1:6" x14ac:dyDescent="0.25">
      <c r="A3" t="s">
        <v>46</v>
      </c>
      <c r="B3" s="2">
        <v>250000</v>
      </c>
      <c r="C3" s="5">
        <f>C1*B3/B1</f>
        <v>1500000</v>
      </c>
      <c r="E3" s="21">
        <f>B3/C3</f>
        <v>0.16666666666666666</v>
      </c>
      <c r="F3" t="s">
        <v>65</v>
      </c>
    </row>
    <row r="4" spans="1:6" x14ac:dyDescent="0.25">
      <c r="A4" t="s">
        <v>42</v>
      </c>
      <c r="B4" s="3">
        <f>SUM(B1:B3)</f>
        <v>1250000</v>
      </c>
      <c r="C4" s="5">
        <f>SUM(C1:C3)</f>
        <v>7500000</v>
      </c>
      <c r="E4" s="21">
        <f>B4/C4</f>
        <v>0.16666666666666666</v>
      </c>
      <c r="F4" t="s">
        <v>65</v>
      </c>
    </row>
    <row r="7" spans="1:6" x14ac:dyDescent="0.25">
      <c r="A7" t="s">
        <v>49</v>
      </c>
      <c r="B7" s="5">
        <f>'At Startup'!B3</f>
        <v>6000000</v>
      </c>
      <c r="C7" s="23">
        <f>B7/B9</f>
        <v>0.8</v>
      </c>
    </row>
    <row r="8" spans="1:6" x14ac:dyDescent="0.25">
      <c r="A8" t="s">
        <v>43</v>
      </c>
      <c r="B8" s="5">
        <f>C3</f>
        <v>1500000</v>
      </c>
      <c r="C8" s="23">
        <f>B8/B9</f>
        <v>0.2</v>
      </c>
    </row>
    <row r="9" spans="1:6" x14ac:dyDescent="0.25">
      <c r="A9" t="s">
        <v>53</v>
      </c>
      <c r="B9" s="6">
        <f>SUM(B7:B8)</f>
        <v>7500000</v>
      </c>
      <c r="C9"/>
    </row>
    <row r="11" spans="1:6" x14ac:dyDescent="0.25">
      <c r="A11" t="s">
        <v>37</v>
      </c>
      <c r="B11" s="6">
        <f>'At Startup'!B1-'Angel Analysis - Simplified'!B9</f>
        <v>2500000</v>
      </c>
      <c r="C11"/>
    </row>
    <row r="14" spans="1:6" s="22" customFormat="1" x14ac:dyDescent="0.25">
      <c r="A14" s="22" t="s">
        <v>47</v>
      </c>
    </row>
    <row r="15" spans="1:6" x14ac:dyDescent="0.25">
      <c r="A15" t="s">
        <v>34</v>
      </c>
      <c r="B15" s="2">
        <v>20000000</v>
      </c>
      <c r="C15"/>
    </row>
    <row r="16" spans="1:6" x14ac:dyDescent="0.25">
      <c r="A16" t="s">
        <v>48</v>
      </c>
      <c r="B16" s="3">
        <f>B15*C7</f>
        <v>16000000</v>
      </c>
      <c r="C16"/>
    </row>
    <row r="17" spans="1:3" x14ac:dyDescent="0.25">
      <c r="A17" t="s">
        <v>54</v>
      </c>
      <c r="B17" s="2">
        <f>B15*C8</f>
        <v>4000000</v>
      </c>
      <c r="C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7" sqref="B17"/>
    </sheetView>
  </sheetViews>
  <sheetFormatPr defaultRowHeight="15" x14ac:dyDescent="0.25"/>
  <cols>
    <col min="1" max="1" width="22.28515625" customWidth="1"/>
    <col min="2" max="2" width="16.7109375" customWidth="1"/>
    <col min="3" max="3" width="14.5703125" style="5" customWidth="1"/>
  </cols>
  <sheetData>
    <row r="1" spans="1:6" x14ac:dyDescent="0.25">
      <c r="A1" t="s">
        <v>41</v>
      </c>
      <c r="B1" s="2">
        <v>6000000</v>
      </c>
      <c r="C1" s="5">
        <f>'Angel Analysis - Simplified'!B9</f>
        <v>7500000</v>
      </c>
      <c r="E1" s="20">
        <f>B1/C1</f>
        <v>0.8</v>
      </c>
      <c r="F1" t="s">
        <v>65</v>
      </c>
    </row>
    <row r="2" spans="1:6" x14ac:dyDescent="0.25">
      <c r="B2" s="2"/>
    </row>
    <row r="3" spans="1:6" x14ac:dyDescent="0.25">
      <c r="A3" t="s">
        <v>40</v>
      </c>
      <c r="B3" s="2">
        <v>2000000</v>
      </c>
      <c r="C3" s="5">
        <f>C1*B3/B1</f>
        <v>2500000</v>
      </c>
      <c r="E3" s="21">
        <f>B3/C3</f>
        <v>0.8</v>
      </c>
      <c r="F3" t="s">
        <v>65</v>
      </c>
    </row>
    <row r="4" spans="1:6" x14ac:dyDescent="0.25">
      <c r="A4" t="s">
        <v>42</v>
      </c>
      <c r="B4" s="3">
        <f>SUM(B1:B3)</f>
        <v>8000000</v>
      </c>
      <c r="C4" s="5">
        <f>SUM(C1:C3)</f>
        <v>10000000</v>
      </c>
      <c r="E4" s="21">
        <f>B4/C4</f>
        <v>0.8</v>
      </c>
      <c r="F4" t="s">
        <v>65</v>
      </c>
    </row>
    <row r="7" spans="1:6" x14ac:dyDescent="0.25">
      <c r="A7" t="s">
        <v>49</v>
      </c>
      <c r="B7" s="5">
        <f>'At Startup'!B3</f>
        <v>6000000</v>
      </c>
      <c r="C7" s="23">
        <f>B7/B10</f>
        <v>0.6</v>
      </c>
    </row>
    <row r="8" spans="1:6" x14ac:dyDescent="0.25">
      <c r="A8" t="s">
        <v>43</v>
      </c>
      <c r="B8" s="5">
        <f>'Angel Analysis - Simplified'!B8</f>
        <v>1500000</v>
      </c>
      <c r="C8" s="23">
        <f>B8/B10</f>
        <v>0.15</v>
      </c>
    </row>
    <row r="9" spans="1:6" x14ac:dyDescent="0.25">
      <c r="A9" t="s">
        <v>44</v>
      </c>
      <c r="B9" s="5">
        <f>C3</f>
        <v>2500000</v>
      </c>
      <c r="C9" s="23">
        <f>B9/B10</f>
        <v>0.25</v>
      </c>
    </row>
    <row r="10" spans="1:6" x14ac:dyDescent="0.25">
      <c r="A10" t="s">
        <v>36</v>
      </c>
      <c r="B10" s="6">
        <f>SUM(B7:B9)</f>
        <v>10000000</v>
      </c>
      <c r="C10"/>
    </row>
    <row r="12" spans="1:6" x14ac:dyDescent="0.25">
      <c r="A12" t="s">
        <v>37</v>
      </c>
      <c r="B12" s="6">
        <f>'At Startup'!B1-'A Round Analysis - Simplified'!B10</f>
        <v>0</v>
      </c>
      <c r="C12"/>
    </row>
    <row r="15" spans="1:6" s="22" customFormat="1" x14ac:dyDescent="0.25">
      <c r="A15" s="22" t="s">
        <v>47</v>
      </c>
    </row>
    <row r="16" spans="1:6" x14ac:dyDescent="0.25">
      <c r="A16" t="s">
        <v>34</v>
      </c>
      <c r="B16" s="2">
        <v>20000000</v>
      </c>
      <c r="C16"/>
    </row>
    <row r="17" spans="1:3" x14ac:dyDescent="0.25">
      <c r="A17" t="s">
        <v>48</v>
      </c>
      <c r="B17" s="3">
        <f>B16*C7</f>
        <v>12000000</v>
      </c>
      <c r="C17"/>
    </row>
    <row r="18" spans="1:3" x14ac:dyDescent="0.25">
      <c r="A18" t="s">
        <v>50</v>
      </c>
      <c r="B18" s="2">
        <f>B16*C8</f>
        <v>3000000</v>
      </c>
      <c r="C18" s="1"/>
    </row>
    <row r="19" spans="1:3" x14ac:dyDescent="0.25">
      <c r="A19" t="s">
        <v>51</v>
      </c>
      <c r="B19" s="3">
        <f>B16*C9</f>
        <v>5000000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C50" sqref="C50"/>
    </sheetView>
  </sheetViews>
  <sheetFormatPr defaultRowHeight="15" x14ac:dyDescent="0.25"/>
  <cols>
    <col min="1" max="1" width="34.85546875" style="13" customWidth="1"/>
    <col min="2" max="4" width="21.85546875" customWidth="1"/>
    <col min="5" max="5" width="24" customWidth="1"/>
    <col min="6" max="6" width="9.140625" customWidth="1"/>
  </cols>
  <sheetData>
    <row r="1" spans="1:5" s="12" customFormat="1" x14ac:dyDescent="0.25">
      <c r="A1" s="12" t="s">
        <v>11</v>
      </c>
    </row>
    <row r="2" spans="1:5" x14ac:dyDescent="0.25">
      <c r="A2" s="13" t="s">
        <v>52</v>
      </c>
      <c r="B2" s="26">
        <v>2500000</v>
      </c>
      <c r="C2" s="11"/>
      <c r="D2" s="11"/>
    </row>
    <row r="3" spans="1:5" x14ac:dyDescent="0.25">
      <c r="A3" s="13" t="s">
        <v>21</v>
      </c>
      <c r="B3" s="27">
        <v>5</v>
      </c>
      <c r="C3" s="11"/>
      <c r="D3" s="11"/>
      <c r="E3" s="2"/>
    </row>
    <row r="4" spans="1:5" x14ac:dyDescent="0.25">
      <c r="A4" s="13" t="s">
        <v>3</v>
      </c>
      <c r="B4" s="26">
        <v>4000000</v>
      </c>
      <c r="C4" s="11"/>
      <c r="D4" s="11"/>
    </row>
    <row r="5" spans="1:5" x14ac:dyDescent="0.25">
      <c r="A5" s="13" t="s">
        <v>15</v>
      </c>
      <c r="B5" s="26">
        <v>1000000</v>
      </c>
      <c r="C5" s="11"/>
      <c r="D5" s="11"/>
    </row>
    <row r="6" spans="1:5" x14ac:dyDescent="0.25">
      <c r="A6" s="13" t="s">
        <v>27</v>
      </c>
      <c r="B6" s="28">
        <v>2016</v>
      </c>
      <c r="C6" s="11"/>
      <c r="D6" s="11"/>
    </row>
    <row r="7" spans="1:5" x14ac:dyDescent="0.25">
      <c r="A7" s="13" t="s">
        <v>28</v>
      </c>
      <c r="B7" s="28">
        <v>2019</v>
      </c>
      <c r="C7" s="11"/>
      <c r="D7" s="11"/>
    </row>
    <row r="8" spans="1:5" x14ac:dyDescent="0.25">
      <c r="A8" s="13" t="s">
        <v>20</v>
      </c>
      <c r="C8" s="11"/>
      <c r="D8" s="11"/>
    </row>
    <row r="9" spans="1:5" s="12" customFormat="1" x14ac:dyDescent="0.25">
      <c r="A9" s="14" t="s">
        <v>2</v>
      </c>
    </row>
    <row r="10" spans="1:5" s="17" customFormat="1" x14ac:dyDescent="0.25">
      <c r="B10" s="17" t="s">
        <v>5</v>
      </c>
      <c r="C10" s="17" t="s">
        <v>10</v>
      </c>
      <c r="D10" s="17" t="s">
        <v>39</v>
      </c>
      <c r="E10" s="17" t="s">
        <v>23</v>
      </c>
    </row>
    <row r="11" spans="1:5" x14ac:dyDescent="0.25">
      <c r="A11" s="13" t="s">
        <v>8</v>
      </c>
      <c r="B11" s="2">
        <v>105000</v>
      </c>
      <c r="C11" s="9">
        <v>245000</v>
      </c>
      <c r="D11" s="9">
        <v>180000</v>
      </c>
      <c r="E11" s="3">
        <f>SUM(B11:D11)</f>
        <v>530000</v>
      </c>
    </row>
    <row r="12" spans="1:5" x14ac:dyDescent="0.25">
      <c r="A12" s="13" t="s">
        <v>1</v>
      </c>
      <c r="B12" s="2">
        <v>2500000</v>
      </c>
      <c r="C12" s="2">
        <f>B12</f>
        <v>2500000</v>
      </c>
      <c r="D12" s="2">
        <f>C12</f>
        <v>2500000</v>
      </c>
    </row>
    <row r="13" spans="1:5" x14ac:dyDescent="0.25">
      <c r="A13" s="13" t="s">
        <v>0</v>
      </c>
      <c r="B13" s="1">
        <v>0.66</v>
      </c>
      <c r="C13" s="1">
        <v>1</v>
      </c>
      <c r="D13" s="1">
        <v>1</v>
      </c>
    </row>
    <row r="14" spans="1:5" s="6" customFormat="1" x14ac:dyDescent="0.25">
      <c r="A14" s="13" t="s">
        <v>16</v>
      </c>
      <c r="B14" s="5">
        <v>10000000</v>
      </c>
      <c r="C14" s="5">
        <f>B14</f>
        <v>10000000</v>
      </c>
      <c r="D14" s="5">
        <f>C14</f>
        <v>10000000</v>
      </c>
    </row>
    <row r="15" spans="1:5" x14ac:dyDescent="0.25">
      <c r="A15" s="13" t="s">
        <v>17</v>
      </c>
      <c r="B15" s="3">
        <f>B12/B14</f>
        <v>0.25</v>
      </c>
      <c r="C15" s="3">
        <f>C12/C14</f>
        <v>0.25</v>
      </c>
      <c r="D15" s="3">
        <f>D12/D14</f>
        <v>0.25</v>
      </c>
    </row>
    <row r="16" spans="1:5" x14ac:dyDescent="0.25">
      <c r="A16" s="13" t="s">
        <v>18</v>
      </c>
      <c r="B16" s="8">
        <f>B15*B13</f>
        <v>0.16500000000000001</v>
      </c>
      <c r="C16" s="3">
        <f>C15*C13</f>
        <v>0.25</v>
      </c>
      <c r="D16" s="3">
        <f>D15*D13</f>
        <v>0.25</v>
      </c>
    </row>
    <row r="17" spans="1:5" x14ac:dyDescent="0.25">
      <c r="A17" s="13" t="s">
        <v>19</v>
      </c>
      <c r="B17" s="4">
        <f>B11/B16</f>
        <v>636363.63636363635</v>
      </c>
      <c r="C17" s="16">
        <f>C11/C16</f>
        <v>980000</v>
      </c>
      <c r="D17" s="16">
        <f>D11/D16</f>
        <v>720000</v>
      </c>
    </row>
    <row r="18" spans="1:5" x14ac:dyDescent="0.25">
      <c r="A18" s="13" t="s">
        <v>26</v>
      </c>
      <c r="B18" s="25">
        <f>(B11/B12)/B13</f>
        <v>6.3636363636363644E-2</v>
      </c>
      <c r="C18" s="25">
        <f>(C11/C12)/C13</f>
        <v>9.8000000000000004E-2</v>
      </c>
      <c r="D18" s="25">
        <f>(D11/D12)/D13</f>
        <v>7.1999999999999995E-2</v>
      </c>
    </row>
    <row r="19" spans="1:5" x14ac:dyDescent="0.25">
      <c r="A19" s="15" t="s">
        <v>3</v>
      </c>
      <c r="B19" s="9">
        <f>$B$4</f>
        <v>4000000</v>
      </c>
      <c r="C19" s="9">
        <f>$B$4</f>
        <v>4000000</v>
      </c>
      <c r="D19" s="9">
        <f>$B$4</f>
        <v>4000000</v>
      </c>
    </row>
    <row r="20" spans="1:5" x14ac:dyDescent="0.25">
      <c r="A20" s="13" t="s">
        <v>12</v>
      </c>
      <c r="B20" s="2">
        <f>B19*B18</f>
        <v>254545.45454545459</v>
      </c>
      <c r="C20" s="9">
        <f>C19*C18</f>
        <v>392000</v>
      </c>
      <c r="D20" s="9">
        <f>D19*D18</f>
        <v>288000</v>
      </c>
    </row>
    <row r="21" spans="1:5" x14ac:dyDescent="0.25">
      <c r="C21" s="11"/>
      <c r="D21" s="11"/>
    </row>
    <row r="22" spans="1:5" s="12" customFormat="1" x14ac:dyDescent="0.25">
      <c r="A22" s="14" t="s">
        <v>13</v>
      </c>
    </row>
    <row r="23" spans="1:5" x14ac:dyDescent="0.25">
      <c r="A23" s="15" t="s">
        <v>4</v>
      </c>
      <c r="B23" s="24">
        <f>$B$5</f>
        <v>1000000</v>
      </c>
      <c r="C23" s="24">
        <f t="shared" ref="C23:D23" si="0">$B$5</f>
        <v>1000000</v>
      </c>
      <c r="D23" s="24">
        <f t="shared" si="0"/>
        <v>1000000</v>
      </c>
    </row>
    <row r="24" spans="1:5" x14ac:dyDescent="0.25">
      <c r="A24" s="13" t="s">
        <v>6</v>
      </c>
      <c r="B24" s="7">
        <f>B23+B19</f>
        <v>5000000</v>
      </c>
      <c r="C24" s="10">
        <f>B24</f>
        <v>5000000</v>
      </c>
      <c r="D24" s="10">
        <f>C24</f>
        <v>5000000</v>
      </c>
    </row>
    <row r="25" spans="1:5" x14ac:dyDescent="0.25">
      <c r="A25" s="13" t="s">
        <v>9</v>
      </c>
      <c r="B25" s="25">
        <f>B20/B24</f>
        <v>5.0909090909090918E-2</v>
      </c>
      <c r="C25" s="25">
        <f>C20/C24</f>
        <v>7.8399999999999997E-2</v>
      </c>
      <c r="D25" s="25">
        <f>D20/D24</f>
        <v>5.7599999999999998E-2</v>
      </c>
    </row>
    <row r="26" spans="1:5" x14ac:dyDescent="0.25">
      <c r="C26" s="11"/>
      <c r="D26" s="11"/>
    </row>
    <row r="27" spans="1:5" s="12" customFormat="1" x14ac:dyDescent="0.25">
      <c r="A27" s="14" t="s">
        <v>14</v>
      </c>
    </row>
    <row r="28" spans="1:5" s="2" customFormat="1" x14ac:dyDescent="0.25">
      <c r="A28" s="15" t="str">
        <f>A2</f>
        <v>TTM Sales Contracts at exit</v>
      </c>
      <c r="B28" s="9">
        <f>$B$2</f>
        <v>2500000</v>
      </c>
      <c r="C28" s="9">
        <f t="shared" ref="C28:D28" si="1">$B$2</f>
        <v>2500000</v>
      </c>
      <c r="D28" s="9">
        <f t="shared" si="1"/>
        <v>2500000</v>
      </c>
    </row>
    <row r="29" spans="1:5" s="4" customFormat="1" x14ac:dyDescent="0.25">
      <c r="A29" s="15" t="str">
        <f>A3</f>
        <v>SaaS Multiple on sales at Exit</v>
      </c>
      <c r="B29" s="16">
        <f>$B$3</f>
        <v>5</v>
      </c>
      <c r="C29" s="16">
        <f t="shared" ref="C29:D29" si="2">$B$3</f>
        <v>5</v>
      </c>
      <c r="D29" s="16">
        <f t="shared" si="2"/>
        <v>5</v>
      </c>
    </row>
    <row r="30" spans="1:5" s="11" customFormat="1" x14ac:dyDescent="0.25">
      <c r="A30" s="13" t="s">
        <v>25</v>
      </c>
      <c r="B30" s="9">
        <f>B29*B28</f>
        <v>12500000</v>
      </c>
      <c r="C30" s="9">
        <f t="shared" ref="C30:D30" si="3">C29*C28</f>
        <v>12500000</v>
      </c>
      <c r="D30" s="9">
        <f t="shared" si="3"/>
        <v>12500000</v>
      </c>
    </row>
    <row r="31" spans="1:5" x14ac:dyDescent="0.25">
      <c r="A31" s="13" t="s">
        <v>9</v>
      </c>
      <c r="B31" s="25">
        <f>IF($B$5=0,B18,B25)</f>
        <v>5.0909090909090918E-2</v>
      </c>
      <c r="C31" s="25">
        <f>IF($B$5=0,C18,C25)</f>
        <v>7.8399999999999997E-2</v>
      </c>
      <c r="D31" s="25">
        <f>IF($B$5=0,D18,D25)</f>
        <v>5.7599999999999998E-2</v>
      </c>
    </row>
    <row r="32" spans="1:5" x14ac:dyDescent="0.25">
      <c r="A32" s="13" t="s">
        <v>7</v>
      </c>
      <c r="B32" s="3">
        <f>B31*B30</f>
        <v>636363.63636363647</v>
      </c>
      <c r="C32" s="3">
        <f>C31*C30</f>
        <v>980000</v>
      </c>
      <c r="D32" s="3">
        <f>D31*D30</f>
        <v>720000</v>
      </c>
      <c r="E32" s="3">
        <f>SUM(B32:D32)</f>
        <v>2336363.6363636367</v>
      </c>
    </row>
    <row r="33" spans="1:5" x14ac:dyDescent="0.25">
      <c r="A33" s="13" t="s">
        <v>38</v>
      </c>
      <c r="B33" s="4">
        <f>B32/B11</f>
        <v>6.0606060606060614</v>
      </c>
      <c r="C33" s="4">
        <f>C32/C11</f>
        <v>4</v>
      </c>
      <c r="D33" s="4">
        <f>D32/D11</f>
        <v>4</v>
      </c>
    </row>
    <row r="34" spans="1:5" x14ac:dyDescent="0.25">
      <c r="B34" s="2"/>
      <c r="C34" s="2"/>
      <c r="D34" s="2"/>
    </row>
    <row r="35" spans="1:5" s="12" customFormat="1" x14ac:dyDescent="0.25">
      <c r="A35" s="14" t="s">
        <v>22</v>
      </c>
      <c r="B35" s="12" t="s">
        <v>5</v>
      </c>
      <c r="C35" s="12" t="s">
        <v>10</v>
      </c>
      <c r="D35" s="12" t="s">
        <v>10</v>
      </c>
      <c r="E35" s="12" t="s">
        <v>24</v>
      </c>
    </row>
    <row r="36" spans="1:5" x14ac:dyDescent="0.25">
      <c r="A36" s="13" t="s">
        <v>55</v>
      </c>
      <c r="C36" s="3">
        <f>$C$45</f>
        <v>134400.04200000002</v>
      </c>
      <c r="D36" s="3">
        <f>65/180*D32</f>
        <v>260000</v>
      </c>
      <c r="E36" s="3">
        <f t="shared" ref="E36:E45" si="4">SUM(B36:D36)</f>
        <v>394400.04200000002</v>
      </c>
    </row>
    <row r="37" spans="1:5" x14ac:dyDescent="0.25">
      <c r="A37" s="13" t="s">
        <v>56</v>
      </c>
      <c r="B37" s="3">
        <f>3400/10000*B32</f>
        <v>216363.63636363641</v>
      </c>
      <c r="C37" s="3">
        <f>2000/100000*C32</f>
        <v>19600</v>
      </c>
      <c r="D37" s="3">
        <v>0</v>
      </c>
      <c r="E37" s="3">
        <f t="shared" si="4"/>
        <v>235963.63636363641</v>
      </c>
    </row>
    <row r="38" spans="1:5" x14ac:dyDescent="0.25">
      <c r="A38" s="13" t="s">
        <v>57</v>
      </c>
      <c r="C38" s="3">
        <f>$C$45</f>
        <v>134400.04200000002</v>
      </c>
      <c r="D38" s="3">
        <v>0</v>
      </c>
      <c r="E38" s="3">
        <f t="shared" si="4"/>
        <v>134400.04200000002</v>
      </c>
    </row>
    <row r="39" spans="1:5" x14ac:dyDescent="0.25">
      <c r="A39" s="13" t="s">
        <v>58</v>
      </c>
      <c r="B39" s="3">
        <f>B45</f>
        <v>203636.36363636368</v>
      </c>
      <c r="D39" s="3">
        <f>50/180*D32</f>
        <v>200000</v>
      </c>
      <c r="E39" s="3">
        <f t="shared" si="4"/>
        <v>403636.36363636365</v>
      </c>
    </row>
    <row r="40" spans="1:5" x14ac:dyDescent="0.25">
      <c r="A40" s="13" t="s">
        <v>59</v>
      </c>
      <c r="B40" s="3">
        <f>B32*200/10000</f>
        <v>12727.27272727273</v>
      </c>
      <c r="C40" s="3">
        <f>C37</f>
        <v>19600</v>
      </c>
      <c r="D40" s="3">
        <v>0</v>
      </c>
      <c r="E40" s="3">
        <f t="shared" si="4"/>
        <v>32327.272727272728</v>
      </c>
    </row>
    <row r="41" spans="1:5" x14ac:dyDescent="0.25">
      <c r="A41" s="13" t="s">
        <v>60</v>
      </c>
      <c r="C41" s="3">
        <f>$C$45</f>
        <v>134400.04200000002</v>
      </c>
      <c r="D41" s="3">
        <f>25/180*D32</f>
        <v>100000</v>
      </c>
      <c r="E41" s="3">
        <f t="shared" si="4"/>
        <v>234400.04200000002</v>
      </c>
    </row>
    <row r="42" spans="1:5" x14ac:dyDescent="0.25">
      <c r="A42" s="13" t="s">
        <v>61</v>
      </c>
      <c r="C42" s="3">
        <f>$C$45</f>
        <v>134400.04200000002</v>
      </c>
      <c r="D42" s="3">
        <v>0</v>
      </c>
      <c r="E42" s="3">
        <f t="shared" si="4"/>
        <v>134400.04200000002</v>
      </c>
    </row>
    <row r="43" spans="1:5" x14ac:dyDescent="0.25">
      <c r="A43" s="13" t="s">
        <v>62</v>
      </c>
      <c r="C43" s="3">
        <f>$C$45</f>
        <v>134400.04200000002</v>
      </c>
      <c r="D43" s="3">
        <v>0</v>
      </c>
      <c r="E43" s="3">
        <f t="shared" si="4"/>
        <v>134400.04200000002</v>
      </c>
    </row>
    <row r="44" spans="1:5" x14ac:dyDescent="0.25">
      <c r="A44" s="13" t="s">
        <v>63</v>
      </c>
      <c r="C44" s="3">
        <f>$C$45</f>
        <v>134400.04200000002</v>
      </c>
      <c r="D44" s="3">
        <f>15/180*D32</f>
        <v>60000</v>
      </c>
      <c r="E44" s="3">
        <f t="shared" si="4"/>
        <v>194400.04200000002</v>
      </c>
    </row>
    <row r="45" spans="1:5" x14ac:dyDescent="0.25">
      <c r="A45" s="13" t="s">
        <v>64</v>
      </c>
      <c r="B45" s="3">
        <f>B32*3200/10000</f>
        <v>203636.36363636368</v>
      </c>
      <c r="C45" s="3">
        <f>13714.29/100000*C32</f>
        <v>134400.04200000002</v>
      </c>
      <c r="D45" s="3">
        <f>25/180*D32</f>
        <v>100000</v>
      </c>
      <c r="E45" s="3">
        <f t="shared" si="4"/>
        <v>438036.40563636366</v>
      </c>
    </row>
    <row r="47" spans="1:5" x14ac:dyDescent="0.25">
      <c r="A47" s="13" t="s">
        <v>45</v>
      </c>
      <c r="B47" s="2">
        <f>SUM(B36:B46)</f>
        <v>636363.63636363647</v>
      </c>
      <c r="C47" s="2">
        <f t="shared" ref="C47:D47" si="5">SUM(C36:C46)</f>
        <v>980000.29400000011</v>
      </c>
      <c r="D47" s="2">
        <f t="shared" si="5"/>
        <v>720000</v>
      </c>
      <c r="E47" s="3">
        <f>SUM(E36:E46)</f>
        <v>2336363.930363636</v>
      </c>
    </row>
    <row r="48" spans="1:5" x14ac:dyDescent="0.25">
      <c r="E48" s="3"/>
    </row>
  </sheetData>
  <pageMargins left="0.7" right="0.7" top="0.75" bottom="0.75" header="0.3" footer="0.3"/>
  <pageSetup scale="77" orientation="landscape" r:id="rId1"/>
  <headerFooter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2" sqref="A12"/>
    </sheetView>
  </sheetViews>
  <sheetFormatPr defaultRowHeight="15" x14ac:dyDescent="0.25"/>
  <cols>
    <col min="1" max="1" width="19.28515625" customWidth="1"/>
    <col min="2" max="2" width="24.140625" customWidth="1"/>
  </cols>
  <sheetData>
    <row r="1" spans="1:2" x14ac:dyDescent="0.25">
      <c r="A1" s="13" t="s">
        <v>29</v>
      </c>
    </row>
    <row r="2" spans="1:2" x14ac:dyDescent="0.25">
      <c r="A2" s="13" t="s">
        <v>30</v>
      </c>
      <c r="B2" s="3">
        <v>-35000</v>
      </c>
    </row>
    <row r="3" spans="1:2" x14ac:dyDescent="0.25">
      <c r="A3" s="13" t="s">
        <v>31</v>
      </c>
      <c r="B3" s="3">
        <v>0</v>
      </c>
    </row>
    <row r="4" spans="1:2" x14ac:dyDescent="0.25">
      <c r="A4" s="13" t="s">
        <v>32</v>
      </c>
      <c r="B4" s="3">
        <v>0</v>
      </c>
    </row>
    <row r="5" spans="1:2" x14ac:dyDescent="0.25">
      <c r="A5" s="13" t="s">
        <v>33</v>
      </c>
      <c r="B5" s="3">
        <v>0</v>
      </c>
    </row>
    <row r="6" spans="1:2" x14ac:dyDescent="0.25">
      <c r="A6" s="13" t="s">
        <v>66</v>
      </c>
      <c r="B6" s="3">
        <v>0</v>
      </c>
    </row>
    <row r="7" spans="1:2" x14ac:dyDescent="0.25">
      <c r="A7" s="13" t="s">
        <v>67</v>
      </c>
      <c r="B7" s="3">
        <v>0</v>
      </c>
    </row>
    <row r="8" spans="1:2" x14ac:dyDescent="0.25">
      <c r="A8" s="13" t="s">
        <v>68</v>
      </c>
      <c r="B8" s="3">
        <v>0</v>
      </c>
    </row>
    <row r="9" spans="1:2" x14ac:dyDescent="0.25">
      <c r="A9" s="13" t="s">
        <v>69</v>
      </c>
      <c r="B9" s="3">
        <f>'A Round Analysis'!B39</f>
        <v>203636.36363636368</v>
      </c>
    </row>
    <row r="10" spans="1:2" x14ac:dyDescent="0.25">
      <c r="A10" s="13"/>
      <c r="B10" s="18">
        <f>IRR(B2:B9)</f>
        <v>0.28604251767302058</v>
      </c>
    </row>
    <row r="11" spans="1:2" x14ac:dyDescent="0.25">
      <c r="A1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 Startup</vt:lpstr>
      <vt:lpstr>Angel Analysis - Simplified</vt:lpstr>
      <vt:lpstr>A Round Analysis - Simplified</vt:lpstr>
      <vt:lpstr>A Round Analysis</vt:lpstr>
      <vt:lpstr>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djmrunfast</dc:creator>
  <cp:lastModifiedBy>djmrunfast</cp:lastModifiedBy>
  <cp:lastPrinted>2016-12-06T17:54:40Z</cp:lastPrinted>
  <dcterms:created xsi:type="dcterms:W3CDTF">2015-11-06T18:59:05Z</dcterms:created>
  <dcterms:modified xsi:type="dcterms:W3CDTF">2017-06-02T13:52:30Z</dcterms:modified>
</cp:coreProperties>
</file>